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speaker/NWKEICI Dropbox/Randy Speaker/Housing Resources/"/>
    </mc:Choice>
  </mc:AlternateContent>
  <xr:revisionPtr revIDLastSave="0" documentId="13_ncr:1_{F6657B2C-BDC1-F942-827A-2DA460909F12}" xr6:coauthVersionLast="47" xr6:coauthVersionMax="47" xr10:uidLastSave="{00000000-0000-0000-0000-000000000000}"/>
  <bookViews>
    <workbookView xWindow="-36000" yWindow="500" windowWidth="36000" windowHeight="21100" xr2:uid="{2EC8B46F-2FA3-4BED-B683-603512C02501}"/>
  </bookViews>
  <sheets>
    <sheet name="Rental - Duplexes" sheetId="1" r:id="rId1"/>
  </sheets>
  <definedNames>
    <definedName name="_xlnm.Print_Area" localSheetId="0">'Rental - Duplexes'!$A$1:$J$44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 s="1"/>
  <c r="D27" i="1"/>
  <c r="D22" i="1"/>
  <c r="D9" i="1"/>
  <c r="D10" i="1" s="1"/>
  <c r="D11" i="1" l="1"/>
  <c r="H9" i="1"/>
  <c r="H7" i="1"/>
  <c r="D16" i="1"/>
  <c r="D17" i="1" s="1"/>
  <c r="H37" i="1"/>
  <c r="D34" i="1"/>
  <c r="H17" i="1"/>
  <c r="D23" i="1" l="1"/>
  <c r="D35" i="1"/>
  <c r="D18" i="1"/>
  <c r="D38" i="1"/>
  <c r="D28" i="1"/>
  <c r="H8" i="1" l="1"/>
  <c r="H10" i="1" s="1"/>
  <c r="D39" i="1"/>
  <c r="D37" i="1"/>
  <c r="H27" i="1" l="1"/>
  <c r="H11" i="1"/>
  <c r="H30" i="1" l="1"/>
  <c r="J25" i="1"/>
  <c r="J26" i="1" s="1"/>
  <c r="H18" i="1" s="1"/>
  <c r="H19" i="1" s="1"/>
  <c r="H20" i="1" s="1"/>
  <c r="H22" i="1" s="1"/>
  <c r="H31" i="1" l="1"/>
  <c r="H33" i="1" s="1"/>
  <c r="H23" i="1"/>
  <c r="H24" i="1" s="1"/>
</calcChain>
</file>

<file path=xl/sharedStrings.xml><?xml version="1.0" encoding="utf-8"?>
<sst xmlns="http://schemas.openxmlformats.org/spreadsheetml/2006/main" count="76" uniqueCount="73">
  <si>
    <t>Equity Resources and Rent Affordability Comparison</t>
  </si>
  <si>
    <t>Assumptions:</t>
  </si>
  <si>
    <t>Capital Stack:</t>
  </si>
  <si>
    <r>
      <t xml:space="preserve">     Developer Equity @</t>
    </r>
    <r>
      <rPr>
        <b/>
        <sz val="12"/>
        <color theme="1"/>
        <rFont val="Calibri"/>
        <family val="2"/>
        <scheme val="minor"/>
      </rPr>
      <t xml:space="preserve"> 5%:</t>
    </r>
  </si>
  <si>
    <t>Equity Resources:</t>
  </si>
  <si>
    <t xml:space="preserve">     Loan To Value Ratio</t>
  </si>
  <si>
    <t xml:space="preserve">     Kansas Housing Investor Tax Credits (HITCA)</t>
  </si>
  <si>
    <t>Per Unit Credit Allocation:</t>
  </si>
  <si>
    <t>Cash Flow</t>
  </si>
  <si>
    <t>Sale Price of Credit:</t>
  </si>
  <si>
    <t xml:space="preserve">    Rent Per Unit Per Month:</t>
  </si>
  <si>
    <t>Percent Contribution:</t>
  </si>
  <si>
    <t>Operating Exp/Unit/Annum</t>
  </si>
  <si>
    <t xml:space="preserve">     Rural Housing Incentive District (RHID)</t>
  </si>
  <si>
    <t>Insurance</t>
  </si>
  <si>
    <t>Property Taxes</t>
  </si>
  <si>
    <t>Per Unit RHID Net Present Value:</t>
  </si>
  <si>
    <t xml:space="preserve">     Annual Expenses / Unit:</t>
  </si>
  <si>
    <t xml:space="preserve">     Moderate Income Housing (MIH)</t>
  </si>
  <si>
    <t>Annual Net Operating Income:</t>
  </si>
  <si>
    <t>Per Unit MIH Request:</t>
  </si>
  <si>
    <t>Total MIH Request:</t>
  </si>
  <si>
    <t>Debt</t>
  </si>
  <si>
    <t xml:space="preserve">     Total Loan Amount:</t>
  </si>
  <si>
    <t xml:space="preserve">     Local Incentives</t>
  </si>
  <si>
    <t xml:space="preserve">     Interest Rate:</t>
  </si>
  <si>
    <t>Waiver of Fees:</t>
  </si>
  <si>
    <t>Income Qualifications</t>
  </si>
  <si>
    <t xml:space="preserve">     Rent Payment as % of Gross:</t>
  </si>
  <si>
    <t>Total Equity Contributions by %:</t>
  </si>
  <si>
    <t>Total Equity Contribution by Dollars:</t>
  </si>
  <si>
    <t>Total Equity Contribution by Dollars per Unit:</t>
  </si>
  <si>
    <t>Notes</t>
  </si>
  <si>
    <t>Per Unit Equity less KHRC Fees:</t>
  </si>
  <si>
    <r>
      <t xml:space="preserve">For questions contact Randy Speaker, Regional Housing Specialist at </t>
    </r>
    <r>
      <rPr>
        <b/>
        <i/>
        <sz val="10"/>
        <color theme="1"/>
        <rFont val="Calibri"/>
        <family val="2"/>
        <scheme val="minor"/>
      </rPr>
      <t xml:space="preserve">randy@nwkeici.org </t>
    </r>
    <r>
      <rPr>
        <i/>
        <sz val="10"/>
        <color theme="1"/>
        <rFont val="Calibri"/>
        <family val="2"/>
        <scheme val="minor"/>
      </rPr>
      <t xml:space="preserve"> or </t>
    </r>
    <r>
      <rPr>
        <b/>
        <i/>
        <sz val="10"/>
        <color theme="1"/>
        <rFont val="Calibri"/>
        <family val="2"/>
        <scheme val="minor"/>
      </rPr>
      <t>785-409-0555</t>
    </r>
  </si>
  <si>
    <t xml:space="preserve">This analysis is prepared by Randy Speaker of the Northwest Kansas Economic Innovation Center, Inc. and is for comparison and planning  </t>
  </si>
  <si>
    <t xml:space="preserve">  purposes only. Any of the numbers can change and there is no guarantee that any of the numbers depicted here are accurate. </t>
  </si>
  <si>
    <t>Maintenance/Upkeep</t>
  </si>
  <si>
    <t>Acct./legal</t>
  </si>
  <si>
    <t>Lawn &amp; Snow</t>
  </si>
  <si>
    <t>Prop Mgt Fee</t>
  </si>
  <si>
    <t xml:space="preserve">     Monthly Operating Exp/ Unit:</t>
  </si>
  <si>
    <t>Rental Housing Development Calculator</t>
  </si>
  <si>
    <t>Total Unit Cost:</t>
  </si>
  <si>
    <t xml:space="preserve">     Units:</t>
  </si>
  <si>
    <t xml:space="preserve">    Total Construction  Cost:</t>
  </si>
  <si>
    <t xml:space="preserve">    Land:</t>
  </si>
  <si>
    <t xml:space="preserve">    Total Development Cost:</t>
  </si>
  <si>
    <t xml:space="preserve">    Sq Ft:</t>
  </si>
  <si>
    <t>Cost Per Square Foot:</t>
  </si>
  <si>
    <t xml:space="preserve">     Total Debt Required:</t>
  </si>
  <si>
    <t xml:space="preserve">     Total Project Cost:</t>
  </si>
  <si>
    <t xml:space="preserve">     Total Equity Incentives:</t>
  </si>
  <si>
    <t xml:space="preserve">    Annual Rent Per Unit:</t>
  </si>
  <si>
    <t>Total RHID Net Present Value Per Unit:</t>
  </si>
  <si>
    <t>Total Annual Gross Income:</t>
  </si>
  <si>
    <t>Total Annual Expenses:</t>
  </si>
  <si>
    <t xml:space="preserve">     Annual Income to Qualify:</t>
  </si>
  <si>
    <t>Debt Coverage Ratio:</t>
  </si>
  <si>
    <t xml:space="preserve">     Term in Years:</t>
  </si>
  <si>
    <t xml:space="preserve">     Annual Principal &amp; Interest:</t>
  </si>
  <si>
    <t xml:space="preserve">     Monthly Principal &amp; Interest:</t>
  </si>
  <si>
    <t>Total Equity Contribution:</t>
  </si>
  <si>
    <t>Local Assistance (i.e. Land donation):</t>
  </si>
  <si>
    <t>Other:</t>
  </si>
  <si>
    <t>Total Local Incentives:</t>
  </si>
  <si>
    <r>
      <t xml:space="preserve">    AMI</t>
    </r>
    <r>
      <rPr>
        <sz val="10"/>
        <color theme="1"/>
        <rFont val="Calibri"/>
        <family val="2"/>
        <scheme val="minor"/>
      </rPr>
      <t xml:space="preserve"> (from Wage Analysis)</t>
    </r>
    <r>
      <rPr>
        <sz val="12"/>
        <color theme="1"/>
        <rFont val="Calibri"/>
        <family val="2"/>
        <scheme val="minor"/>
      </rPr>
      <t>:</t>
    </r>
  </si>
  <si>
    <t xml:space="preserve">         Less: Vacancy:</t>
  </si>
  <si>
    <t xml:space="preserve">     Effective Gross Income:</t>
  </si>
  <si>
    <t>Interest on Mortgage</t>
  </si>
  <si>
    <t>Annual Return on Investment:</t>
  </si>
  <si>
    <t xml:space="preserve">         Plus: Depreciation Tax Benefit:</t>
  </si>
  <si>
    <r>
      <t xml:space="preserve">     </t>
    </r>
    <r>
      <rPr>
        <i/>
        <sz val="12"/>
        <color theme="1"/>
        <rFont val="Calibri"/>
        <family val="2"/>
        <scheme val="minor"/>
      </rPr>
      <t>(Assumes 30% Tax Bracket)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</si>
</sst>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0" applyFont="1"/>
    <xf numFmtId="0" fontId="12" fillId="0" borderId="0" xfId="0" applyFont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9" fillId="0" borderId="1" xfId="0" applyFont="1" applyBorder="1"/>
    <xf numFmtId="0" fontId="12" fillId="0" borderId="2" xfId="0" applyFont="1" applyBorder="1"/>
    <xf numFmtId="0" fontId="12" fillId="2" borderId="2" xfId="0" applyFont="1" applyFill="1" applyBorder="1"/>
    <xf numFmtId="0" fontId="12" fillId="0" borderId="3" xfId="0" applyFont="1" applyBorder="1"/>
    <xf numFmtId="0" fontId="12" fillId="0" borderId="4" xfId="0" applyFont="1" applyBorder="1"/>
    <xf numFmtId="164" fontId="12" fillId="3" borderId="0" xfId="0" applyNumberFormat="1" applyFont="1" applyFill="1" applyAlignment="1">
      <alignment horizontal="right"/>
    </xf>
    <xf numFmtId="0" fontId="12" fillId="2" borderId="0" xfId="0" applyFont="1" applyFill="1"/>
    <xf numFmtId="164" fontId="12" fillId="0" borderId="5" xfId="0" applyNumberFormat="1" applyFont="1" applyBorder="1"/>
    <xf numFmtId="164" fontId="12" fillId="0" borderId="0" xfId="0" applyNumberFormat="1" applyFont="1" applyAlignment="1">
      <alignment horizontal="right"/>
    </xf>
    <xf numFmtId="164" fontId="14" fillId="0" borderId="5" xfId="0" applyNumberFormat="1" applyFont="1" applyBorder="1"/>
    <xf numFmtId="0" fontId="12" fillId="0" borderId="0" xfId="0" applyFont="1" applyAlignment="1">
      <alignment horizontal="right"/>
    </xf>
    <xf numFmtId="0" fontId="9" fillId="0" borderId="4" xfId="0" applyFont="1" applyBorder="1"/>
    <xf numFmtId="9" fontId="9" fillId="0" borderId="5" xfId="0" applyNumberFormat="1" applyFont="1" applyBorder="1"/>
    <xf numFmtId="0" fontId="15" fillId="0" borderId="4" xfId="0" applyFont="1" applyBorder="1"/>
    <xf numFmtId="0" fontId="12" fillId="0" borderId="5" xfId="0" applyFont="1" applyBorder="1"/>
    <xf numFmtId="165" fontId="14" fillId="3" borderId="0" xfId="0" applyNumberFormat="1" applyFont="1" applyFill="1" applyAlignment="1">
      <alignment horizontal="right"/>
    </xf>
    <xf numFmtId="164" fontId="12" fillId="3" borderId="5" xfId="0" applyNumberFormat="1" applyFont="1" applyFill="1" applyBorder="1"/>
    <xf numFmtId="164" fontId="12" fillId="0" borderId="0" xfId="0" applyNumberFormat="1" applyFont="1"/>
    <xf numFmtId="10" fontId="12" fillId="0" borderId="0" xfId="0" applyNumberFormat="1" applyFont="1"/>
    <xf numFmtId="9" fontId="12" fillId="3" borderId="5" xfId="0" applyNumberFormat="1" applyFont="1" applyFill="1" applyBorder="1"/>
    <xf numFmtId="164" fontId="12" fillId="3" borderId="0" xfId="0" applyNumberFormat="1" applyFont="1" applyFill="1"/>
    <xf numFmtId="0" fontId="12" fillId="3" borderId="5" xfId="0" applyFont="1" applyFill="1" applyBorder="1"/>
    <xf numFmtId="166" fontId="12" fillId="3" borderId="5" xfId="0" applyNumberFormat="1" applyFont="1" applyFill="1" applyBorder="1"/>
    <xf numFmtId="164" fontId="14" fillId="3" borderId="0" xfId="0" applyNumberFormat="1" applyFont="1" applyFill="1"/>
    <xf numFmtId="9" fontId="9" fillId="0" borderId="0" xfId="0" applyNumberFormat="1" applyFont="1"/>
    <xf numFmtId="0" fontId="12" fillId="2" borderId="7" xfId="0" applyFont="1" applyFill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6" fillId="0" borderId="4" xfId="0" applyFont="1" applyBorder="1"/>
    <xf numFmtId="0" fontId="6" fillId="0" borderId="0" xfId="0" applyFont="1"/>
    <xf numFmtId="164" fontId="14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3" fontId="12" fillId="3" borderId="0" xfId="0" applyNumberFormat="1" applyFont="1" applyFill="1" applyAlignment="1">
      <alignment horizontal="left"/>
    </xf>
    <xf numFmtId="5" fontId="12" fillId="3" borderId="5" xfId="1" applyNumberFormat="1" applyFont="1" applyFill="1" applyBorder="1"/>
    <xf numFmtId="0" fontId="7" fillId="0" borderId="4" xfId="0" applyFont="1" applyBorder="1"/>
    <xf numFmtId="5" fontId="12" fillId="3" borderId="14" xfId="1" applyNumberFormat="1" applyFont="1" applyFill="1" applyBorder="1"/>
    <xf numFmtId="0" fontId="5" fillId="0" borderId="0" xfId="0" applyFont="1"/>
    <xf numFmtId="0" fontId="19" fillId="0" borderId="0" xfId="0" applyFont="1"/>
    <xf numFmtId="0" fontId="19" fillId="0" borderId="2" xfId="0" applyFont="1" applyBorder="1"/>
    <xf numFmtId="0" fontId="4" fillId="0" borderId="4" xfId="0" applyFont="1" applyBorder="1"/>
    <xf numFmtId="164" fontId="14" fillId="0" borderId="16" xfId="0" applyNumberFormat="1" applyFont="1" applyBorder="1"/>
    <xf numFmtId="0" fontId="3" fillId="0" borderId="0" xfId="0" applyFont="1"/>
    <xf numFmtId="5" fontId="12" fillId="0" borderId="5" xfId="1" applyNumberFormat="1" applyFont="1" applyFill="1" applyBorder="1"/>
    <xf numFmtId="10" fontId="12" fillId="0" borderId="5" xfId="0" applyNumberFormat="1" applyFont="1" applyBorder="1"/>
    <xf numFmtId="44" fontId="12" fillId="0" borderId="15" xfId="1" applyFont="1" applyBorder="1"/>
    <xf numFmtId="0" fontId="12" fillId="0" borderId="15" xfId="0" applyFont="1" applyBorder="1"/>
    <xf numFmtId="0" fontId="2" fillId="0" borderId="0" xfId="0" applyFont="1"/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4" borderId="5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127000</xdr:rowOff>
    </xdr:from>
    <xdr:to>
      <xdr:col>6</xdr:col>
      <xdr:colOff>660400</xdr:colOff>
      <xdr:row>0</xdr:row>
      <xdr:rowOff>1016000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B846C-6D61-FA45-A94C-33283E1DB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27000"/>
          <a:ext cx="4665133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C145-FEB7-47A4-9FB3-61D600241167}">
  <dimension ref="A1:J44"/>
  <sheetViews>
    <sheetView tabSelected="1" zoomScale="201" zoomScaleNormal="201" workbookViewId="0">
      <selection activeCell="A2" sqref="A2:H2"/>
    </sheetView>
  </sheetViews>
  <sheetFormatPr baseColWidth="10" defaultColWidth="8.83203125" defaultRowHeight="16" x14ac:dyDescent="0.2"/>
  <cols>
    <col min="1" max="1" width="7.6640625" style="2" customWidth="1"/>
    <col min="2" max="2" width="12.6640625" style="2" customWidth="1"/>
    <col min="3" max="3" width="23.1640625" style="2" customWidth="1"/>
    <col min="4" max="4" width="11" style="2" customWidth="1"/>
    <col min="5" max="5" width="0.83203125" style="2" customWidth="1"/>
    <col min="6" max="6" width="12.83203125" style="2" customWidth="1"/>
    <col min="7" max="7" width="16.5" style="2" customWidth="1"/>
    <col min="8" max="8" width="10.6640625" style="2" customWidth="1"/>
    <col min="9" max="9" width="20.5" style="2" customWidth="1"/>
    <col min="10" max="10" width="12.83203125" style="2" customWidth="1"/>
    <col min="11" max="16384" width="8.83203125" style="2"/>
  </cols>
  <sheetData>
    <row r="1" spans="1:8" s="1" customFormat="1" ht="86.5" customHeight="1" thickTop="1" x14ac:dyDescent="0.2">
      <c r="A1" s="58"/>
      <c r="B1" s="59"/>
      <c r="C1" s="59"/>
      <c r="D1" s="59"/>
      <c r="E1" s="59"/>
      <c r="F1" s="59"/>
      <c r="G1" s="59"/>
      <c r="H1" s="60"/>
    </row>
    <row r="2" spans="1:8" s="1" customFormat="1" ht="23" customHeight="1" x14ac:dyDescent="0.3">
      <c r="A2" s="61" t="s">
        <v>42</v>
      </c>
      <c r="B2" s="62"/>
      <c r="C2" s="62"/>
      <c r="D2" s="62"/>
      <c r="E2" s="62"/>
      <c r="F2" s="62"/>
      <c r="G2" s="62"/>
      <c r="H2" s="63"/>
    </row>
    <row r="3" spans="1:8" ht="19.5" customHeight="1" x14ac:dyDescent="0.25">
      <c r="A3" s="64" t="s">
        <v>0</v>
      </c>
      <c r="B3" s="65"/>
      <c r="C3" s="65"/>
      <c r="D3" s="65"/>
      <c r="E3" s="65"/>
      <c r="F3" s="65"/>
      <c r="G3" s="65"/>
      <c r="H3" s="66"/>
    </row>
    <row r="4" spans="1:8" ht="2.5" customHeight="1" thickBot="1" x14ac:dyDescent="0.3">
      <c r="A4" s="3"/>
      <c r="B4" s="4"/>
      <c r="C4" s="4"/>
      <c r="D4" s="4"/>
      <c r="E4" s="4"/>
      <c r="F4" s="4"/>
      <c r="G4" s="4"/>
      <c r="H4" s="5"/>
    </row>
    <row r="5" spans="1:8" ht="2.5" customHeight="1" thickTop="1" thickBot="1" x14ac:dyDescent="0.35">
      <c r="A5" s="6"/>
      <c r="B5" s="7"/>
      <c r="C5" s="7"/>
      <c r="D5" s="7"/>
      <c r="E5" s="7"/>
      <c r="F5" s="7"/>
      <c r="G5" s="7"/>
      <c r="H5" s="8"/>
    </row>
    <row r="6" spans="1:8" ht="17" thickTop="1" x14ac:dyDescent="0.2">
      <c r="A6" s="9" t="s">
        <v>1</v>
      </c>
      <c r="B6" s="10"/>
      <c r="C6" s="10"/>
      <c r="D6" s="10"/>
      <c r="E6" s="11"/>
      <c r="F6" s="49" t="s">
        <v>2</v>
      </c>
      <c r="G6" s="10"/>
      <c r="H6" s="12"/>
    </row>
    <row r="7" spans="1:8" x14ac:dyDescent="0.2">
      <c r="A7" s="38" t="s">
        <v>45</v>
      </c>
      <c r="D7" s="14">
        <v>2000000</v>
      </c>
      <c r="E7" s="15"/>
      <c r="F7" s="39" t="s">
        <v>51</v>
      </c>
      <c r="H7" s="16">
        <f>D9</f>
        <v>2025000</v>
      </c>
    </row>
    <row r="8" spans="1:8" x14ac:dyDescent="0.2">
      <c r="A8" s="38" t="s">
        <v>46</v>
      </c>
      <c r="D8" s="40">
        <v>25000</v>
      </c>
      <c r="E8" s="15"/>
      <c r="F8" s="39" t="s">
        <v>52</v>
      </c>
      <c r="H8" s="16">
        <f>D38</f>
        <v>1218000</v>
      </c>
    </row>
    <row r="9" spans="1:8" x14ac:dyDescent="0.2">
      <c r="A9" s="38" t="s">
        <v>47</v>
      </c>
      <c r="D9" s="17">
        <f>D7+D8</f>
        <v>2025000</v>
      </c>
      <c r="E9" s="15"/>
      <c r="F9" s="2" t="s">
        <v>3</v>
      </c>
      <c r="H9" s="18">
        <f>D9*0.05</f>
        <v>101250</v>
      </c>
    </row>
    <row r="10" spans="1:8" x14ac:dyDescent="0.2">
      <c r="A10" s="38" t="s">
        <v>44</v>
      </c>
      <c r="B10" s="41">
        <v>10</v>
      </c>
      <c r="C10" s="42" t="s">
        <v>43</v>
      </c>
      <c r="D10" s="17">
        <f>D9/B10</f>
        <v>202500</v>
      </c>
      <c r="E10" s="15"/>
      <c r="F10" s="39" t="s">
        <v>50</v>
      </c>
      <c r="H10" s="16">
        <f>(H7)-H8-H9</f>
        <v>705750</v>
      </c>
    </row>
    <row r="11" spans="1:8" x14ac:dyDescent="0.2">
      <c r="A11" s="38" t="s">
        <v>48</v>
      </c>
      <c r="B11" s="43">
        <v>9750</v>
      </c>
      <c r="C11" s="42" t="s">
        <v>49</v>
      </c>
      <c r="D11" s="26">
        <f>D9/B11</f>
        <v>207.69230769230768</v>
      </c>
      <c r="E11" s="15"/>
      <c r="F11" s="2" t="s">
        <v>5</v>
      </c>
      <c r="H11" s="21">
        <f>H10/H7</f>
        <v>0.34851851851851851</v>
      </c>
    </row>
    <row r="12" spans="1:8" x14ac:dyDescent="0.2">
      <c r="A12" s="20" t="s">
        <v>4</v>
      </c>
      <c r="D12" s="19"/>
      <c r="E12" s="15"/>
      <c r="F12" s="48" t="s">
        <v>8</v>
      </c>
      <c r="H12" s="23"/>
    </row>
    <row r="13" spans="1:8" x14ac:dyDescent="0.2">
      <c r="A13" s="22" t="s">
        <v>6</v>
      </c>
      <c r="D13" s="19"/>
      <c r="E13" s="15"/>
      <c r="F13" s="2" t="s">
        <v>10</v>
      </c>
      <c r="H13" s="25">
        <v>1800</v>
      </c>
    </row>
    <row r="14" spans="1:8" x14ac:dyDescent="0.2">
      <c r="A14" s="13"/>
      <c r="B14" s="2" t="s">
        <v>7</v>
      </c>
      <c r="D14" s="14">
        <v>35000</v>
      </c>
      <c r="E14" s="15"/>
      <c r="F14" s="39" t="s">
        <v>53</v>
      </c>
      <c r="H14" s="16">
        <f>H13*12</f>
        <v>21600</v>
      </c>
    </row>
    <row r="15" spans="1:8" x14ac:dyDescent="0.2">
      <c r="A15" s="13"/>
      <c r="B15" s="2" t="s">
        <v>9</v>
      </c>
      <c r="D15" s="24">
        <v>0.87</v>
      </c>
      <c r="E15" s="15"/>
      <c r="F15" s="1" t="s">
        <v>55</v>
      </c>
      <c r="H15" s="16">
        <f>(H14*B10)</f>
        <v>216000</v>
      </c>
    </row>
    <row r="16" spans="1:8" x14ac:dyDescent="0.2">
      <c r="A16" s="13"/>
      <c r="B16" s="2" t="s">
        <v>33</v>
      </c>
      <c r="D16" s="17">
        <f>(D14*D15)-(D14*0.03)-100</f>
        <v>29300</v>
      </c>
      <c r="E16" s="15"/>
      <c r="F16" s="47" t="s">
        <v>67</v>
      </c>
      <c r="H16" s="28">
        <v>0.05</v>
      </c>
    </row>
    <row r="17" spans="1:10" ht="17" thickBot="1" x14ac:dyDescent="0.25">
      <c r="A17" s="13"/>
      <c r="B17" s="47" t="s">
        <v>62</v>
      </c>
      <c r="D17" s="26">
        <f>(D16*B10)</f>
        <v>293000</v>
      </c>
      <c r="E17" s="15"/>
      <c r="F17" s="47" t="s">
        <v>68</v>
      </c>
      <c r="H17" s="16">
        <f>(H15*(1-H16)*1)</f>
        <v>205200</v>
      </c>
    </row>
    <row r="18" spans="1:10" ht="17" thickTop="1" x14ac:dyDescent="0.2">
      <c r="A18" s="13"/>
      <c r="B18" s="19" t="s">
        <v>11</v>
      </c>
      <c r="C18" s="19"/>
      <c r="D18" s="27">
        <f>D17/D9</f>
        <v>0.14469135802469135</v>
      </c>
      <c r="E18" s="15"/>
      <c r="F18" s="37" t="s">
        <v>41</v>
      </c>
      <c r="H18" s="16">
        <f>J26/12</f>
        <v>1001.9617708333334</v>
      </c>
      <c r="I18" s="58" t="s">
        <v>12</v>
      </c>
      <c r="J18" s="60"/>
    </row>
    <row r="19" spans="1:10" x14ac:dyDescent="0.2">
      <c r="A19" s="13"/>
      <c r="E19" s="15"/>
      <c r="F19" s="2" t="s">
        <v>17</v>
      </c>
      <c r="H19" s="16">
        <f>H18*12</f>
        <v>12023.54125</v>
      </c>
      <c r="I19" s="13" t="s">
        <v>14</v>
      </c>
      <c r="J19" s="44">
        <v>1800</v>
      </c>
    </row>
    <row r="20" spans="1:10" x14ac:dyDescent="0.2">
      <c r="A20" s="22" t="s">
        <v>13</v>
      </c>
      <c r="E20" s="15"/>
      <c r="F20" s="1" t="s">
        <v>56</v>
      </c>
      <c r="H20" s="16">
        <f>(H19*B10)</f>
        <v>120235.41250000001</v>
      </c>
      <c r="I20" s="13" t="s">
        <v>15</v>
      </c>
      <c r="J20" s="44">
        <v>2400</v>
      </c>
    </row>
    <row r="21" spans="1:10" x14ac:dyDescent="0.2">
      <c r="A21" s="13"/>
      <c r="B21" s="39" t="s">
        <v>54</v>
      </c>
      <c r="D21" s="14">
        <v>400000</v>
      </c>
      <c r="E21" s="15"/>
      <c r="H21" s="23"/>
      <c r="I21" s="45" t="s">
        <v>39</v>
      </c>
      <c r="J21" s="44">
        <v>500</v>
      </c>
    </row>
    <row r="22" spans="1:10" x14ac:dyDescent="0.2">
      <c r="A22" s="13"/>
      <c r="B22" s="2" t="s">
        <v>16</v>
      </c>
      <c r="D22" s="26">
        <f>(D21/B10)</f>
        <v>40000</v>
      </c>
      <c r="E22" s="15"/>
      <c r="F22" s="1" t="s">
        <v>19</v>
      </c>
      <c r="G22" s="36"/>
      <c r="H22" s="16">
        <f>H17-H20</f>
        <v>84964.587499999994</v>
      </c>
      <c r="I22" s="45" t="s">
        <v>37</v>
      </c>
      <c r="J22" s="44">
        <v>2500</v>
      </c>
    </row>
    <row r="23" spans="1:10" x14ac:dyDescent="0.2">
      <c r="A23" s="13"/>
      <c r="B23" s="19" t="s">
        <v>11</v>
      </c>
      <c r="C23" s="19"/>
      <c r="D23" s="27">
        <f>D21/D9</f>
        <v>0.19753086419753085</v>
      </c>
      <c r="E23" s="15"/>
      <c r="F23" s="57" t="s">
        <v>71</v>
      </c>
      <c r="H23" s="16">
        <f>((D7/28)-((H30-J25)*B10))*0.3</f>
        <v>12205.674486813041</v>
      </c>
      <c r="I23" s="45" t="s">
        <v>40</v>
      </c>
      <c r="J23" s="44">
        <v>1000</v>
      </c>
    </row>
    <row r="24" spans="1:10" x14ac:dyDescent="0.2">
      <c r="A24" s="13"/>
      <c r="E24" s="15"/>
      <c r="F24" s="1" t="s">
        <v>70</v>
      </c>
      <c r="H24" s="54">
        <f>(H22+H23)/H9</f>
        <v>0.95970629122778317</v>
      </c>
      <c r="I24" s="45" t="s">
        <v>38</v>
      </c>
      <c r="J24" s="46">
        <v>750</v>
      </c>
    </row>
    <row r="25" spans="1:10" x14ac:dyDescent="0.2">
      <c r="A25" s="22" t="s">
        <v>18</v>
      </c>
      <c r="E25" s="15"/>
      <c r="F25" s="57" t="s">
        <v>72</v>
      </c>
      <c r="H25" s="16"/>
      <c r="I25" s="50" t="s">
        <v>69</v>
      </c>
      <c r="J25" s="51">
        <f>((H27*H29)/10)*0.67</f>
        <v>3073.5412500000002</v>
      </c>
    </row>
    <row r="26" spans="1:10" ht="17" thickBot="1" x14ac:dyDescent="0.25">
      <c r="A26" s="13"/>
      <c r="B26" s="2" t="s">
        <v>20</v>
      </c>
      <c r="D26" s="29">
        <v>50000</v>
      </c>
      <c r="E26" s="15"/>
      <c r="F26" s="48" t="s">
        <v>22</v>
      </c>
      <c r="H26" s="23"/>
      <c r="I26" s="13"/>
      <c r="J26" s="53">
        <f>SUM(J19:J25)</f>
        <v>12023.54125</v>
      </c>
    </row>
    <row r="27" spans="1:10" ht="17" thickTop="1" x14ac:dyDescent="0.2">
      <c r="A27" s="13"/>
      <c r="B27" s="2" t="s">
        <v>21</v>
      </c>
      <c r="D27" s="26">
        <f>(D26*B10)</f>
        <v>500000</v>
      </c>
      <c r="E27" s="15"/>
      <c r="F27" s="2" t="s">
        <v>23</v>
      </c>
      <c r="H27" s="16">
        <f>H10</f>
        <v>705750</v>
      </c>
      <c r="I27" s="56"/>
      <c r="J27" s="55"/>
    </row>
    <row r="28" spans="1:10" x14ac:dyDescent="0.2">
      <c r="A28" s="13"/>
      <c r="B28" s="19" t="s">
        <v>11</v>
      </c>
      <c r="C28" s="19"/>
      <c r="D28" s="27">
        <f>D27/D9</f>
        <v>0.24691358024691357</v>
      </c>
      <c r="E28" s="15"/>
      <c r="F28" s="47" t="s">
        <v>59</v>
      </c>
      <c r="H28" s="30">
        <v>15</v>
      </c>
      <c r="I28" s="73"/>
      <c r="J28" s="73"/>
    </row>
    <row r="29" spans="1:10" x14ac:dyDescent="0.2">
      <c r="A29" s="13"/>
      <c r="E29" s="15"/>
      <c r="F29" s="2" t="s">
        <v>25</v>
      </c>
      <c r="H29" s="31">
        <v>6.5000000000000002E-2</v>
      </c>
      <c r="I29" s="52"/>
      <c r="J29" s="27"/>
    </row>
    <row r="30" spans="1:10" x14ac:dyDescent="0.2">
      <c r="A30" s="22" t="s">
        <v>24</v>
      </c>
      <c r="E30" s="15"/>
      <c r="F30" s="47" t="s">
        <v>61</v>
      </c>
      <c r="H30" s="16">
        <f>PMT(H29/12,H28*12,-H27)</f>
        <v>6147.84023058613</v>
      </c>
    </row>
    <row r="31" spans="1:10" x14ac:dyDescent="0.2">
      <c r="A31" s="13"/>
      <c r="B31" s="47" t="s">
        <v>63</v>
      </c>
      <c r="D31" s="29">
        <v>25000</v>
      </c>
      <c r="E31" s="15"/>
      <c r="F31" s="47" t="s">
        <v>60</v>
      </c>
      <c r="H31" s="16">
        <f>H30*12</f>
        <v>73774.082767033557</v>
      </c>
    </row>
    <row r="32" spans="1:10" x14ac:dyDescent="0.2">
      <c r="A32" s="13"/>
      <c r="B32" s="2" t="s">
        <v>26</v>
      </c>
      <c r="D32" s="29">
        <v>0</v>
      </c>
      <c r="E32" s="15"/>
      <c r="H32" s="23"/>
    </row>
    <row r="33" spans="1:8" x14ac:dyDescent="0.2">
      <c r="A33" s="13"/>
      <c r="B33" s="47" t="s">
        <v>64</v>
      </c>
      <c r="D33" s="32">
        <v>0</v>
      </c>
      <c r="E33" s="15"/>
      <c r="F33" s="48" t="s">
        <v>58</v>
      </c>
      <c r="G33" s="1"/>
      <c r="H33" s="74">
        <f>H22/H31</f>
        <v>1.151686124899773</v>
      </c>
    </row>
    <row r="34" spans="1:8" x14ac:dyDescent="0.2">
      <c r="A34" s="13"/>
      <c r="B34" s="47" t="s">
        <v>65</v>
      </c>
      <c r="D34" s="26">
        <f>SUM(D31:D33)</f>
        <v>25000</v>
      </c>
      <c r="E34" s="15"/>
      <c r="H34" s="23"/>
    </row>
    <row r="35" spans="1:8" x14ac:dyDescent="0.2">
      <c r="A35" s="13"/>
      <c r="B35" s="19" t="s">
        <v>11</v>
      </c>
      <c r="C35" s="19"/>
      <c r="D35" s="27">
        <f>D34/D9</f>
        <v>1.2345679012345678E-2</v>
      </c>
      <c r="E35" s="15"/>
      <c r="F35" s="48" t="s">
        <v>27</v>
      </c>
      <c r="H35" s="23"/>
    </row>
    <row r="36" spans="1:8" x14ac:dyDescent="0.2">
      <c r="A36" s="13"/>
      <c r="E36" s="15"/>
      <c r="F36" s="2" t="s">
        <v>28</v>
      </c>
      <c r="H36" s="28">
        <v>0.3</v>
      </c>
    </row>
    <row r="37" spans="1:8" x14ac:dyDescent="0.2">
      <c r="A37" s="20" t="s">
        <v>29</v>
      </c>
      <c r="D37" s="33">
        <f>D35+D28+D23+D18</f>
        <v>0.60148148148148151</v>
      </c>
      <c r="E37" s="15"/>
      <c r="F37" s="47" t="s">
        <v>57</v>
      </c>
      <c r="H37" s="16">
        <f>(H13*12)/H36</f>
        <v>72000</v>
      </c>
    </row>
    <row r="38" spans="1:8" x14ac:dyDescent="0.2">
      <c r="A38" s="20" t="s">
        <v>30</v>
      </c>
      <c r="D38" s="26">
        <f>D34+D27+D21+D17</f>
        <v>1218000</v>
      </c>
      <c r="E38" s="15"/>
      <c r="F38" s="1" t="s">
        <v>32</v>
      </c>
      <c r="H38" s="23"/>
    </row>
    <row r="39" spans="1:8" ht="17" thickBot="1" x14ac:dyDescent="0.25">
      <c r="A39" s="20" t="s">
        <v>31</v>
      </c>
      <c r="D39" s="26">
        <f>D38/B10</f>
        <v>121800</v>
      </c>
      <c r="E39" s="34"/>
      <c r="F39" s="47" t="s">
        <v>66</v>
      </c>
      <c r="H39" s="25">
        <v>65300</v>
      </c>
    </row>
    <row r="40" spans="1:8" ht="8" customHeight="1" thickTop="1" x14ac:dyDescent="0.2">
      <c r="A40" s="35"/>
      <c r="B40" s="10"/>
      <c r="C40" s="10"/>
      <c r="D40" s="10"/>
      <c r="E40" s="10"/>
      <c r="F40" s="10"/>
      <c r="G40" s="10"/>
      <c r="H40" s="12"/>
    </row>
    <row r="41" spans="1:8" ht="13.5" customHeight="1" x14ac:dyDescent="0.2">
      <c r="A41" s="70" t="s">
        <v>35</v>
      </c>
      <c r="B41" s="71"/>
      <c r="C41" s="71"/>
      <c r="D41" s="71"/>
      <c r="E41" s="71"/>
      <c r="F41" s="71"/>
      <c r="G41" s="71"/>
      <c r="H41" s="72"/>
    </row>
    <row r="42" spans="1:8" ht="13.5" customHeight="1" x14ac:dyDescent="0.2">
      <c r="A42" s="70" t="s">
        <v>36</v>
      </c>
      <c r="B42" s="71"/>
      <c r="C42" s="71"/>
      <c r="D42" s="71"/>
      <c r="E42" s="71"/>
      <c r="F42" s="71"/>
      <c r="G42" s="71"/>
      <c r="H42" s="72"/>
    </row>
    <row r="43" spans="1:8" ht="13.5" customHeight="1" thickBot="1" x14ac:dyDescent="0.25">
      <c r="A43" s="67" t="s">
        <v>34</v>
      </c>
      <c r="B43" s="68"/>
      <c r="C43" s="68"/>
      <c r="D43" s="68"/>
      <c r="E43" s="68"/>
      <c r="F43" s="68"/>
      <c r="G43" s="68"/>
      <c r="H43" s="69"/>
    </row>
    <row r="44" spans="1:8" ht="17" thickTop="1" x14ac:dyDescent="0.2"/>
  </sheetData>
  <mergeCells count="8">
    <mergeCell ref="A1:H1"/>
    <mergeCell ref="A2:H2"/>
    <mergeCell ref="A3:H3"/>
    <mergeCell ref="A43:H43"/>
    <mergeCell ref="I18:J18"/>
    <mergeCell ref="A41:H41"/>
    <mergeCell ref="A42:H42"/>
    <mergeCell ref="I28:J28"/>
  </mergeCells>
  <pageMargins left="0.25" right="0.25" top="0.5" bottom="0.5" header="0.3" footer="0.3"/>
  <pageSetup orientation="portrait" horizontalDpi="1200" verticalDpi="120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- Duplexes</vt:lpstr>
      <vt:lpstr>'Rental - Duplexes'!Print_Area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Speaker</dc:creator>
  <cp:lastModifiedBy>Randy Speaker</cp:lastModifiedBy>
  <cp:lastPrinted>2024-03-04T15:55:15Z</cp:lastPrinted>
  <dcterms:created xsi:type="dcterms:W3CDTF">2022-06-23T20:44:38Z</dcterms:created>
  <dcterms:modified xsi:type="dcterms:W3CDTF">2024-03-04T15:55:24Z</dcterms:modified>
</cp:coreProperties>
</file>